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ewalesi.Laveti\Documents\2019\UNDP Accelerator Lab\"/>
    </mc:Choice>
  </mc:AlternateContent>
  <bookViews>
    <workbookView xWindow="0" yWindow="0" windowWidth="20490" windowHeight="6945"/>
  </bookViews>
  <sheets>
    <sheet name="Sheet1" sheetId="1" r:id="rId1"/>
  </sheets>
  <definedNames>
    <definedName name="_xlnm.Print_Area" localSheetId="0">Sheet1!$A$1:$L$40</definedName>
  </definedNames>
  <calcPr calcId="1525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0" i="1" l="1"/>
  <c r="I49" i="1"/>
  <c r="E36" i="1"/>
  <c r="E35" i="1"/>
  <c r="E21" i="1"/>
  <c r="E20" i="1"/>
  <c r="E19" i="1"/>
  <c r="E18" i="1"/>
  <c r="E34" i="1"/>
  <c r="E33" i="1"/>
  <c r="E32" i="1"/>
  <c r="E31" i="1"/>
  <c r="E30" i="1"/>
  <c r="E29" i="1"/>
  <c r="E28" i="1"/>
  <c r="E22" i="1"/>
  <c r="E12" i="1"/>
  <c r="E11" i="1"/>
  <c r="E10" i="1"/>
  <c r="I48" i="1"/>
  <c r="E37" i="1"/>
  <c r="E45" i="1"/>
  <c r="E23" i="1"/>
  <c r="E13" i="1"/>
  <c r="E14" i="1"/>
  <c r="E40" i="1"/>
  <c r="E42" i="1"/>
  <c r="E16" i="1"/>
  <c r="D48" i="1"/>
  <c r="E49" i="1"/>
  <c r="E48" i="1"/>
  <c r="D49" i="1"/>
  <c r="D50" i="1"/>
  <c r="E50" i="1"/>
  <c r="G28" i="1"/>
  <c r="F28" i="1"/>
  <c r="E25" i="1"/>
  <c r="C51" i="1"/>
  <c r="G23" i="1"/>
  <c r="F23" i="1"/>
  <c r="G14" i="1"/>
  <c r="F14" i="1"/>
  <c r="G25" i="1"/>
  <c r="F25" i="1"/>
  <c r="G37" i="1"/>
  <c r="G45" i="1"/>
  <c r="F37" i="1"/>
  <c r="F45" i="1"/>
  <c r="F40" i="1"/>
  <c r="F42" i="1"/>
  <c r="F43" i="1"/>
  <c r="G40" i="1"/>
  <c r="G42" i="1"/>
  <c r="G43" i="1"/>
  <c r="E43" i="1"/>
</calcChain>
</file>

<file path=xl/sharedStrings.xml><?xml version="1.0" encoding="utf-8"?>
<sst xmlns="http://schemas.openxmlformats.org/spreadsheetml/2006/main" count="110" uniqueCount="68">
  <si>
    <t>Multi- Year Work Plan</t>
  </si>
  <si>
    <t xml:space="preserve">Project/Output Title: </t>
  </si>
  <si>
    <t xml:space="preserve">Accelerator Lab - Fiji </t>
  </si>
  <si>
    <t xml:space="preserve">Programme Officer: </t>
  </si>
  <si>
    <t>Johannes Schunter</t>
  </si>
  <si>
    <t>CPD Outcome:</t>
  </si>
  <si>
    <t>TBD</t>
  </si>
  <si>
    <t xml:space="preserve">Gender marker: </t>
  </si>
  <si>
    <t>GEN1</t>
  </si>
  <si>
    <t>Expected Outputs</t>
  </si>
  <si>
    <t xml:space="preserve">Planned Activities </t>
  </si>
  <si>
    <t>Unit cost (USD)</t>
  </si>
  <si>
    <t xml:space="preserve"> # Unit</t>
  </si>
  <si>
    <t>Planned Budget By Year</t>
  </si>
  <si>
    <t>Responsible Party</t>
  </si>
  <si>
    <t>Planned Budget</t>
  </si>
  <si>
    <t>YEAR 1</t>
  </si>
  <si>
    <t>YEAR 2</t>
  </si>
  <si>
    <t>YEAR 3</t>
  </si>
  <si>
    <t xml:space="preserve">Funding Source </t>
  </si>
  <si>
    <t>Atlas A/C code</t>
  </si>
  <si>
    <t>Budget Description</t>
  </si>
  <si>
    <t>Amount</t>
  </si>
  <si>
    <t>Output 2: Identify and Elavate New Solutions</t>
  </si>
  <si>
    <t>ACTIVITY 1 - Communications &amp; Local Engagement</t>
  </si>
  <si>
    <t>Advertisements/Messaging</t>
  </si>
  <si>
    <t>UNDP 001981</t>
  </si>
  <si>
    <t>Germany, Fund 30000, Donor 00117</t>
  </si>
  <si>
    <t>Communciation products</t>
  </si>
  <si>
    <t>Events/workshops</t>
  </si>
  <si>
    <t>GMS (8%)</t>
  </si>
  <si>
    <t>Sub-Total for Activity 1</t>
  </si>
  <si>
    <t>ACTIVITY 2 - Experiments &amp; Solutions Mapping</t>
  </si>
  <si>
    <t>Portfolio sensemaking workshop (BRH Mission)</t>
  </si>
  <si>
    <t>Breakdown for Portfolio sensemaking workshop by funding source</t>
  </si>
  <si>
    <t>TRAC 2</t>
  </si>
  <si>
    <t>Experiment design &amp; protoyping</t>
  </si>
  <si>
    <t>Solution mapping in communities</t>
  </si>
  <si>
    <t>Mission travel</t>
  </si>
  <si>
    <t>Sub-Total for Activity 2</t>
  </si>
  <si>
    <t>ACTIVITY 3 - Country Accelerator Lab Team</t>
  </si>
  <si>
    <t>AccLab personnel: Pro-forma costs for 3 NOBs</t>
  </si>
  <si>
    <t>Breakdown for AccLab personnel by funding source</t>
  </si>
  <si>
    <t>Qatar, Fund 30000, Donor 12298</t>
  </si>
  <si>
    <t>Rental, Maintanance, Facilities and Administration (DPC)</t>
  </si>
  <si>
    <t>Information Technology Equipment</t>
  </si>
  <si>
    <t>Communication and Audio Visual Equipment</t>
  </si>
  <si>
    <t>Furniture</t>
  </si>
  <si>
    <t>Stationary and other office supplies</t>
  </si>
  <si>
    <t>Learning</t>
  </si>
  <si>
    <t>Miscellanous Expenses</t>
  </si>
  <si>
    <t>GMS (8%) Qatar</t>
  </si>
  <si>
    <t>GMS (8%) Germany</t>
  </si>
  <si>
    <t>Sub-Total for Activity 3</t>
  </si>
  <si>
    <r>
      <rPr>
        <b/>
        <sz val="12"/>
        <color theme="1"/>
        <rFont val="Calibri"/>
        <family val="2"/>
        <scheme val="minor"/>
      </rPr>
      <t>Evaluation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scheme val="minor"/>
      </rPr>
      <t>(as relevant)</t>
    </r>
  </si>
  <si>
    <t>EVALUATION</t>
  </si>
  <si>
    <t>TOTAL</t>
  </si>
  <si>
    <t>TRAC 2 funding not subject to GMS</t>
  </si>
  <si>
    <t>Donor funds subject to GMS</t>
  </si>
  <si>
    <t>8% GMS</t>
  </si>
  <si>
    <t>Total excluding 3 NOB costs</t>
  </si>
  <si>
    <t>Breakdown of Source of Funding</t>
  </si>
  <si>
    <t>Available</t>
  </si>
  <si>
    <t>Usage</t>
  </si>
  <si>
    <t>Unused remaining</t>
  </si>
  <si>
    <t>Qatar</t>
  </si>
  <si>
    <t>Germany</t>
  </si>
  <si>
    <t xml:space="preserve">Total available resources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</si>
</sst>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0.0000%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9D4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1" xfId="0" applyFill="1" applyBorder="1"/>
    <xf numFmtId="43" fontId="0" fillId="0" borderId="0" xfId="1" applyFont="1"/>
    <xf numFmtId="3" fontId="5" fillId="0" borderId="0" xfId="0" applyNumberFormat="1" applyFont="1"/>
    <xf numFmtId="0" fontId="1" fillId="0" borderId="0" xfId="0" applyFont="1" applyBorder="1"/>
    <xf numFmtId="0" fontId="0" fillId="0" borderId="0" xfId="0" applyBorder="1"/>
    <xf numFmtId="0" fontId="0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/>
    <xf numFmtId="0" fontId="1" fillId="4" borderId="1" xfId="0" applyFont="1" applyFill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Fill="1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 applyAlignment="1"/>
    <xf numFmtId="165" fontId="1" fillId="0" borderId="1" xfId="0" applyNumberFormat="1" applyFont="1" applyFill="1" applyBorder="1"/>
    <xf numFmtId="1" fontId="0" fillId="0" borderId="0" xfId="0" applyNumberFormat="1"/>
    <xf numFmtId="1" fontId="0" fillId="2" borderId="1" xfId="0" applyNumberFormat="1" applyFill="1" applyBorder="1"/>
    <xf numFmtId="1" fontId="0" fillId="0" borderId="1" xfId="0" applyNumberFormat="1" applyBorder="1"/>
    <xf numFmtId="1" fontId="0" fillId="3" borderId="1" xfId="0" applyNumberFormat="1" applyFill="1" applyBorder="1"/>
    <xf numFmtId="1" fontId="0" fillId="0" borderId="1" xfId="0" applyNumberFormat="1" applyFill="1" applyBorder="1"/>
    <xf numFmtId="1" fontId="0" fillId="3" borderId="1" xfId="0" applyNumberFormat="1" applyFill="1" applyBorder="1" applyAlignment="1"/>
    <xf numFmtId="1" fontId="1" fillId="0" borderId="1" xfId="0" applyNumberFormat="1" applyFont="1" applyFill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65" fontId="0" fillId="0" borderId="1" xfId="0" applyNumberFormat="1" applyFont="1" applyFill="1" applyBorder="1"/>
    <xf numFmtId="1" fontId="0" fillId="0" borderId="1" xfId="0" applyNumberFormat="1" applyFont="1" applyFill="1" applyBorder="1"/>
    <xf numFmtId="0" fontId="0" fillId="0" borderId="0" xfId="0" applyFont="1"/>
    <xf numFmtId="0" fontId="0" fillId="0" borderId="1" xfId="0" applyNumberFormat="1" applyBorder="1"/>
    <xf numFmtId="0" fontId="0" fillId="3" borderId="1" xfId="0" applyNumberFormat="1" applyFill="1" applyBorder="1"/>
    <xf numFmtId="0" fontId="0" fillId="2" borderId="1" xfId="0" applyNumberFormat="1" applyFill="1" applyBorder="1"/>
    <xf numFmtId="0" fontId="0" fillId="0" borderId="1" xfId="0" applyNumberFormat="1" applyFill="1" applyBorder="1"/>
    <xf numFmtId="0" fontId="0" fillId="3" borderId="1" xfId="0" applyNumberFormat="1" applyFill="1" applyBorder="1" applyAlignment="1"/>
    <xf numFmtId="0" fontId="1" fillId="0" borderId="1" xfId="0" applyNumberFormat="1" applyFont="1" applyFill="1" applyBorder="1"/>
    <xf numFmtId="0" fontId="0" fillId="0" borderId="1" xfId="0" applyNumberFormat="1" applyFont="1" applyFill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165" fontId="1" fillId="0" borderId="0" xfId="0" applyNumberFormat="1" applyFont="1" applyFill="1" applyBorder="1"/>
    <xf numFmtId="165" fontId="0" fillId="0" borderId="1" xfId="0" applyNumberFormat="1" applyFill="1" applyBorder="1" applyAlignment="1">
      <alignment wrapText="1"/>
    </xf>
    <xf numFmtId="164" fontId="0" fillId="0" borderId="2" xfId="0" applyNumberFormat="1" applyFill="1" applyBorder="1"/>
    <xf numFmtId="165" fontId="2" fillId="0" borderId="4" xfId="0" applyNumberFormat="1" applyFont="1" applyFill="1" applyBorder="1"/>
    <xf numFmtId="165" fontId="2" fillId="0" borderId="0" xfId="0" applyNumberFormat="1" applyFont="1" applyFill="1" applyBorder="1"/>
    <xf numFmtId="0" fontId="2" fillId="0" borderId="1" xfId="0" applyFont="1" applyFill="1" applyBorder="1"/>
    <xf numFmtId="165" fontId="2" fillId="0" borderId="1" xfId="0" applyNumberFormat="1" applyFont="1" applyFill="1" applyBorder="1"/>
    <xf numFmtId="1" fontId="2" fillId="0" borderId="5" xfId="0" applyNumberFormat="1" applyFont="1" applyFill="1" applyBorder="1"/>
    <xf numFmtId="165" fontId="2" fillId="0" borderId="6" xfId="0" applyNumberFormat="1" applyFont="1" applyFill="1" applyBorder="1"/>
    <xf numFmtId="0" fontId="2" fillId="0" borderId="1" xfId="0" applyNumberFormat="1" applyFont="1" applyFill="1" applyBorder="1"/>
    <xf numFmtId="0" fontId="2" fillId="0" borderId="0" xfId="0" applyFont="1"/>
    <xf numFmtId="1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wrapText="1"/>
    </xf>
    <xf numFmtId="166" fontId="0" fillId="0" borderId="0" xfId="2" applyNumberFormat="1" applyFont="1"/>
    <xf numFmtId="0" fontId="2" fillId="0" borderId="1" xfId="0" applyFont="1" applyBorder="1"/>
    <xf numFmtId="165" fontId="2" fillId="0" borderId="1" xfId="0" applyNumberFormat="1" applyFont="1" applyBorder="1"/>
    <xf numFmtId="1" fontId="2" fillId="0" borderId="1" xfId="0" applyNumberFormat="1" applyFont="1" applyBorder="1"/>
    <xf numFmtId="0" fontId="0" fillId="0" borderId="0" xfId="0" applyNumberFormat="1"/>
    <xf numFmtId="0" fontId="1" fillId="4" borderId="1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 applyFill="1" applyBorder="1"/>
    <xf numFmtId="164" fontId="1" fillId="0" borderId="1" xfId="0" applyNumberFormat="1" applyFont="1" applyFill="1" applyBorder="1"/>
    <xf numFmtId="165" fontId="0" fillId="0" borderId="0" xfId="0" applyNumberFormat="1"/>
    <xf numFmtId="164" fontId="0" fillId="0" borderId="1" xfId="0" applyNumberFormat="1" applyBorder="1"/>
    <xf numFmtId="164" fontId="2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EF9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5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gnes Kochan" id="{FB59E006-6BAC-464A-993A-EA7026BFABDA}" userId="S::agnes.kochan@undp.org::01709906-5f67-4ead-ad56-9bb972b6d4a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19-05-06T11:03:17.56" personId="{FB59E006-6BAC-464A-993A-EA7026BFABDA}" id="{CBDC4D7A-661D-7F44-84B1-07C1A7A728E3}">
    <text>Should be broken down to travel, catering and rent of facilities</text>
  </threadedComment>
  <threadedComment ref="B14" dT="2019-05-06T11:04:58.85" personId="{FB59E006-6BAC-464A-993A-EA7026BFABDA}" id="{948F6DAD-6A90-EC40-8EF7-603CAA10EC69}">
    <text>Needs to be more precisely defined - e.c. contracting companies, printing, etc.</text>
  </threadedComment>
  <threadedComment ref="B15" dT="2019-05-06T11:05:21.54" personId="{FB59E006-6BAC-464A-993A-EA7026BFABDA}" id="{38FE1F25-99BF-B14B-9A02-5ECDBC8705CA}">
    <text>same as in case of Experiment design &amp; prototyping</text>
  </threadedComment>
  <threadedComment ref="B19" dT="2019-05-06T10:59:09.73" personId="{FB59E006-6BAC-464A-993A-EA7026BFABDA}" id="{076320C9-9961-724A-AEE0-1DEC795407A8}">
    <text>6 months salary cost</text>
  </threadedComment>
  <threadedComment ref="B21" dT="2019-05-06T09:56:27.29" personId="{FB59E006-6BAC-464A-993A-EA7026BFABDA}" id="{A903408F-EB3E-6648-9D72-17846347CA28}">
    <text>inc. laptops, email cost, phone charges, switchboard charges, internet connection charges, maintanance charges</text>
  </threadedComment>
  <threadedComment ref="B22" dT="2019-05-06T09:59:04.40" personId="{FB59E006-6BAC-464A-993A-EA7026BFABDA}" id="{59E20ABC-7DE3-5044-9F1F-CCF6134FEA39}">
    <text>Reserve for audio video equipment if required</text>
  </threadedComment>
  <threadedComment ref="B26" dT="2019-05-06T10:46:59.90" personId="{FB59E006-6BAC-464A-993A-EA7026BFABDA}" id="{C8D2F7C8-B179-E64D-8283-CA29EBAA5F1A}">
    <text>For consideration</text>
  </threadedComment>
  <threadedComment ref="B27" dT="2019-05-06T10:47:31.28" personId="{FB59E006-6BAC-464A-993A-EA7026BFABDA}" id="{9200CA4B-4033-2F4F-A3A1-83C73CAF588B}">
    <text>Estimate cost of the operational staff support in the area of procurement, travel and finance services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7" zoomScaleNormal="100" workbookViewId="0">
      <selection activeCell="I40" sqref="I40:J40"/>
    </sheetView>
  </sheetViews>
  <sheetFormatPr defaultColWidth="11.25" defaultRowHeight="15.75"/>
  <cols>
    <col min="1" max="1" width="18.75" customWidth="1"/>
    <col min="2" max="2" width="50.125" customWidth="1"/>
    <col min="3" max="3" width="11.375" bestFit="1" customWidth="1"/>
    <col min="4" max="4" width="11.375" style="25" bestFit="1" customWidth="1"/>
    <col min="5" max="5" width="17" customWidth="1"/>
    <col min="6" max="6" width="11.5" customWidth="1"/>
    <col min="7" max="7" width="10.875" customWidth="1"/>
    <col min="8" max="8" width="12.625" customWidth="1"/>
    <col min="9" max="9" width="31.5" customWidth="1"/>
    <col min="10" max="10" width="15" style="63" customWidth="1"/>
    <col min="11" max="11" width="17" customWidth="1"/>
  </cols>
  <sheetData>
    <row r="1" spans="1:12" ht="21">
      <c r="A1" s="9" t="s">
        <v>0</v>
      </c>
    </row>
    <row r="2" spans="1:12">
      <c r="A2" s="1" t="s">
        <v>1</v>
      </c>
      <c r="B2" t="s">
        <v>2</v>
      </c>
    </row>
    <row r="3" spans="1:12">
      <c r="A3" s="1" t="s">
        <v>3</v>
      </c>
      <c r="B3" t="s">
        <v>4</v>
      </c>
    </row>
    <row r="4" spans="1:12">
      <c r="A4" s="1" t="s">
        <v>5</v>
      </c>
      <c r="B4" t="s">
        <v>6</v>
      </c>
    </row>
    <row r="5" spans="1:12">
      <c r="A5" s="8" t="s">
        <v>7</v>
      </c>
      <c r="B5" t="s">
        <v>8</v>
      </c>
    </row>
    <row r="6" spans="1:12">
      <c r="A6" s="8"/>
    </row>
    <row r="7" spans="1:12" s="2" customFormat="1" ht="34.15" customHeight="1">
      <c r="A7" s="76" t="s">
        <v>9</v>
      </c>
      <c r="B7" s="76" t="s">
        <v>10</v>
      </c>
      <c r="C7" s="78" t="s">
        <v>11</v>
      </c>
      <c r="D7" s="72" t="s">
        <v>12</v>
      </c>
      <c r="E7" s="74" t="s">
        <v>13</v>
      </c>
      <c r="F7" s="74"/>
      <c r="G7" s="74"/>
      <c r="H7" s="78" t="s">
        <v>14</v>
      </c>
      <c r="I7" s="74" t="s">
        <v>15</v>
      </c>
      <c r="J7" s="74"/>
      <c r="K7" s="74"/>
      <c r="L7" s="74"/>
    </row>
    <row r="8" spans="1:12">
      <c r="A8" s="77"/>
      <c r="B8" s="77"/>
      <c r="C8" s="79"/>
      <c r="D8" s="73"/>
      <c r="E8" s="18" t="s">
        <v>16</v>
      </c>
      <c r="F8" s="18" t="s">
        <v>17</v>
      </c>
      <c r="G8" s="18" t="s">
        <v>18</v>
      </c>
      <c r="H8" s="79"/>
      <c r="I8" s="18" t="s">
        <v>19</v>
      </c>
      <c r="J8" s="64" t="s">
        <v>20</v>
      </c>
      <c r="K8" s="18" t="s">
        <v>21</v>
      </c>
      <c r="L8" s="18" t="s">
        <v>22</v>
      </c>
    </row>
    <row r="9" spans="1:12" ht="16.149999999999999" customHeight="1">
      <c r="A9" s="75" t="s">
        <v>23</v>
      </c>
      <c r="B9" s="6" t="s">
        <v>24</v>
      </c>
      <c r="C9" s="7"/>
      <c r="D9" s="26"/>
      <c r="E9" s="7"/>
      <c r="F9" s="7"/>
      <c r="G9" s="7"/>
      <c r="H9" s="7"/>
      <c r="I9" s="7"/>
      <c r="J9" s="39"/>
      <c r="K9" s="7"/>
      <c r="L9" s="7"/>
    </row>
    <row r="10" spans="1:12">
      <c r="A10" s="75"/>
      <c r="B10" s="5" t="s">
        <v>25</v>
      </c>
      <c r="C10" s="19"/>
      <c r="D10" s="27"/>
      <c r="E10" s="20">
        <f>1000*0.92</f>
        <v>920</v>
      </c>
      <c r="F10" s="20">
        <v>1000</v>
      </c>
      <c r="G10" s="20">
        <v>1000</v>
      </c>
      <c r="H10" s="19" t="s">
        <v>26</v>
      </c>
      <c r="I10" s="47" t="s">
        <v>27</v>
      </c>
      <c r="J10" s="37">
        <v>72500</v>
      </c>
      <c r="K10" s="19"/>
      <c r="L10" s="3"/>
    </row>
    <row r="11" spans="1:12">
      <c r="A11" s="75"/>
      <c r="B11" s="5" t="s">
        <v>28</v>
      </c>
      <c r="C11" s="19"/>
      <c r="D11" s="27"/>
      <c r="E11" s="20">
        <f>2000*0.92</f>
        <v>1840</v>
      </c>
      <c r="F11" s="20">
        <v>3000</v>
      </c>
      <c r="G11" s="20">
        <v>3000</v>
      </c>
      <c r="H11" s="19" t="s">
        <v>26</v>
      </c>
      <c r="I11" s="47" t="s">
        <v>27</v>
      </c>
      <c r="J11" s="37">
        <v>74200</v>
      </c>
      <c r="K11" s="19"/>
      <c r="L11" s="3"/>
    </row>
    <row r="12" spans="1:12">
      <c r="A12" s="75"/>
      <c r="B12" s="5" t="s">
        <v>29</v>
      </c>
      <c r="C12" s="19"/>
      <c r="D12" s="27"/>
      <c r="E12" s="20">
        <f>5000*0.92</f>
        <v>4600</v>
      </c>
      <c r="F12" s="19">
        <v>15000</v>
      </c>
      <c r="G12" s="19">
        <v>15000</v>
      </c>
      <c r="H12" s="19" t="s">
        <v>26</v>
      </c>
      <c r="I12" s="47" t="s">
        <v>27</v>
      </c>
      <c r="J12" s="37">
        <v>75700</v>
      </c>
      <c r="K12" s="19"/>
      <c r="L12" s="3"/>
    </row>
    <row r="13" spans="1:12">
      <c r="A13" s="75"/>
      <c r="B13" s="10" t="s">
        <v>30</v>
      </c>
      <c r="C13" s="19"/>
      <c r="D13" s="27"/>
      <c r="E13" s="69">
        <f>SUM(E10:E12)/92*8</f>
        <v>640</v>
      </c>
      <c r="F13" s="19">
        <v>15000</v>
      </c>
      <c r="G13" s="19">
        <v>15000</v>
      </c>
      <c r="H13" s="19" t="s">
        <v>26</v>
      </c>
      <c r="I13" s="47" t="s">
        <v>27</v>
      </c>
      <c r="J13" s="37">
        <v>71500</v>
      </c>
      <c r="K13" s="19"/>
      <c r="L13" s="3"/>
    </row>
    <row r="14" spans="1:12">
      <c r="A14" s="75"/>
      <c r="B14" s="15" t="s">
        <v>31</v>
      </c>
      <c r="C14" s="21"/>
      <c r="D14" s="28"/>
      <c r="E14" s="21">
        <f>SUM(E10:E13)</f>
        <v>8000</v>
      </c>
      <c r="F14" s="21">
        <f>SUM(F10:F12)</f>
        <v>19000</v>
      </c>
      <c r="G14" s="21">
        <f>SUM(G10:G12)</f>
        <v>19000</v>
      </c>
      <c r="H14" s="21"/>
      <c r="I14" s="21"/>
      <c r="J14" s="38"/>
      <c r="K14" s="21"/>
      <c r="L14" s="16"/>
    </row>
    <row r="15" spans="1:12">
      <c r="A15" s="75"/>
      <c r="B15" s="6" t="s">
        <v>32</v>
      </c>
      <c r="C15" s="22"/>
      <c r="D15" s="26"/>
      <c r="E15" s="22"/>
      <c r="F15" s="22"/>
      <c r="G15" s="22"/>
      <c r="H15" s="22"/>
      <c r="I15" s="22"/>
      <c r="J15" s="39"/>
      <c r="K15" s="22"/>
      <c r="L15" s="7"/>
    </row>
    <row r="16" spans="1:12">
      <c r="A16" s="75"/>
      <c r="B16" s="5" t="s">
        <v>33</v>
      </c>
      <c r="C16" s="19"/>
      <c r="D16" s="27"/>
      <c r="E16" s="20">
        <f>SUM(E17:E18)</f>
        <v>9303.26</v>
      </c>
      <c r="F16" s="19"/>
      <c r="G16" s="19"/>
      <c r="H16" s="19"/>
      <c r="I16" s="47"/>
      <c r="J16" s="37">
        <v>75700</v>
      </c>
      <c r="K16" s="22"/>
      <c r="L16" s="7"/>
    </row>
    <row r="17" spans="1:12" s="56" customFormat="1">
      <c r="A17" s="75"/>
      <c r="B17" s="60" t="s">
        <v>34</v>
      </c>
      <c r="C17" s="61"/>
      <c r="D17" s="62"/>
      <c r="E17" s="52">
        <v>1296.5</v>
      </c>
      <c r="F17" s="61"/>
      <c r="G17" s="61"/>
      <c r="H17" s="61" t="s">
        <v>26</v>
      </c>
      <c r="I17" s="52" t="s">
        <v>35</v>
      </c>
      <c r="J17" s="37">
        <v>75700</v>
      </c>
      <c r="K17" s="61"/>
      <c r="L17" s="60"/>
    </row>
    <row r="18" spans="1:12" s="56" customFormat="1">
      <c r="A18" s="75"/>
      <c r="B18" s="60" t="s">
        <v>34</v>
      </c>
      <c r="C18" s="61"/>
      <c r="D18" s="62"/>
      <c r="E18" s="70">
        <f>8703*0.92</f>
        <v>8006.76</v>
      </c>
      <c r="F18" s="61"/>
      <c r="G18" s="61"/>
      <c r="H18" s="61" t="s">
        <v>26</v>
      </c>
      <c r="I18" s="58" t="s">
        <v>27</v>
      </c>
      <c r="J18" s="37">
        <v>75700</v>
      </c>
      <c r="K18" s="61"/>
      <c r="L18" s="60"/>
    </row>
    <row r="19" spans="1:12">
      <c r="A19" s="75"/>
      <c r="B19" s="5" t="s">
        <v>36</v>
      </c>
      <c r="C19" s="19"/>
      <c r="D19" s="27"/>
      <c r="E19" s="20">
        <f>15000*0.92</f>
        <v>13800</v>
      </c>
      <c r="F19" s="20">
        <v>25000</v>
      </c>
      <c r="G19" s="20">
        <v>25000</v>
      </c>
      <c r="H19" s="19" t="s">
        <v>26</v>
      </c>
      <c r="I19" s="47" t="s">
        <v>27</v>
      </c>
      <c r="J19" s="37">
        <v>71200</v>
      </c>
      <c r="K19" s="19"/>
      <c r="L19" s="3"/>
    </row>
    <row r="20" spans="1:12">
      <c r="A20" s="75"/>
      <c r="B20" s="5" t="s">
        <v>37</v>
      </c>
      <c r="C20" s="19"/>
      <c r="D20" s="27"/>
      <c r="E20" s="20">
        <f>15000*0.92</f>
        <v>13800</v>
      </c>
      <c r="F20" s="20">
        <v>20000</v>
      </c>
      <c r="G20" s="20">
        <v>20000</v>
      </c>
      <c r="H20" s="19" t="s">
        <v>26</v>
      </c>
      <c r="I20" s="47" t="s">
        <v>27</v>
      </c>
      <c r="J20" s="37">
        <v>71300</v>
      </c>
      <c r="K20" s="19"/>
      <c r="L20" s="3"/>
    </row>
    <row r="21" spans="1:12">
      <c r="A21" s="75"/>
      <c r="B21" s="5" t="s">
        <v>38</v>
      </c>
      <c r="C21" s="19"/>
      <c r="D21" s="27"/>
      <c r="E21" s="20">
        <f>15000*0.92</f>
        <v>13800</v>
      </c>
      <c r="F21" s="20">
        <v>25000</v>
      </c>
      <c r="G21" s="20">
        <v>25000</v>
      </c>
      <c r="H21" s="19" t="s">
        <v>26</v>
      </c>
      <c r="I21" s="47" t="s">
        <v>27</v>
      </c>
      <c r="J21" s="37">
        <v>71600</v>
      </c>
      <c r="K21" s="19"/>
      <c r="L21" s="19"/>
    </row>
    <row r="22" spans="1:12">
      <c r="A22" s="75"/>
      <c r="B22" s="10" t="s">
        <v>30</v>
      </c>
      <c r="C22" s="19"/>
      <c r="D22" s="27"/>
      <c r="E22" s="19">
        <f>SUM(E18:E21)/92*8</f>
        <v>4296.24</v>
      </c>
      <c r="F22" s="20">
        <v>25000</v>
      </c>
      <c r="G22" s="20">
        <v>25000</v>
      </c>
      <c r="H22" s="19" t="s">
        <v>26</v>
      </c>
      <c r="I22" s="47" t="s">
        <v>27</v>
      </c>
      <c r="J22" s="37">
        <v>71500</v>
      </c>
      <c r="K22" s="19"/>
      <c r="L22" s="19"/>
    </row>
    <row r="23" spans="1:12">
      <c r="A23" s="75"/>
      <c r="B23" s="15" t="s">
        <v>39</v>
      </c>
      <c r="C23" s="21"/>
      <c r="D23" s="28"/>
      <c r="E23" s="21">
        <f>SUM(E17:E22)</f>
        <v>54999.5</v>
      </c>
      <c r="F23" s="21">
        <f>SUM(F17:F21)</f>
        <v>70000</v>
      </c>
      <c r="G23" s="21">
        <f>SUM(G17:G21)</f>
        <v>70000</v>
      </c>
      <c r="H23" s="21"/>
      <c r="I23" s="21"/>
      <c r="J23" s="38"/>
      <c r="K23" s="21"/>
      <c r="L23" s="16"/>
    </row>
    <row r="24" spans="1:12">
      <c r="A24" s="75"/>
      <c r="B24" s="6" t="s">
        <v>40</v>
      </c>
      <c r="C24" s="22"/>
      <c r="D24" s="26"/>
      <c r="E24" s="22"/>
      <c r="F24" s="22"/>
      <c r="G24" s="22"/>
      <c r="H24" s="22"/>
      <c r="I24" s="22"/>
      <c r="J24" s="39"/>
      <c r="K24" s="22"/>
      <c r="L24" s="7"/>
    </row>
    <row r="25" spans="1:12">
      <c r="A25" s="75"/>
      <c r="B25" s="10" t="s">
        <v>41</v>
      </c>
      <c r="C25" s="20">
        <v>83269</v>
      </c>
      <c r="D25" s="29">
        <v>3</v>
      </c>
      <c r="E25" s="48">
        <f>C25*D25/2</f>
        <v>124903.5</v>
      </c>
      <c r="F25" s="20">
        <f>C25*D25</f>
        <v>249807</v>
      </c>
      <c r="G25" s="20">
        <f>C25*D25</f>
        <v>249807</v>
      </c>
      <c r="H25" s="20"/>
      <c r="I25" s="20"/>
      <c r="J25" s="40"/>
      <c r="K25" s="20"/>
      <c r="L25" s="10"/>
    </row>
    <row r="26" spans="1:12" s="56" customFormat="1">
      <c r="A26" s="75"/>
      <c r="B26" s="51" t="s">
        <v>42</v>
      </c>
      <c r="C26" s="52"/>
      <c r="D26" s="53"/>
      <c r="E26" s="49">
        <v>44903.5</v>
      </c>
      <c r="F26" s="54"/>
      <c r="G26" s="52"/>
      <c r="H26" s="20" t="s">
        <v>26</v>
      </c>
      <c r="I26" s="52" t="s">
        <v>35</v>
      </c>
      <c r="J26" s="55">
        <v>71500</v>
      </c>
      <c r="K26" s="52"/>
      <c r="L26" s="51"/>
    </row>
    <row r="27" spans="1:12" s="56" customFormat="1">
      <c r="A27" s="75"/>
      <c r="B27" s="51" t="s">
        <v>42</v>
      </c>
      <c r="C27" s="52"/>
      <c r="D27" s="57"/>
      <c r="E27" s="50">
        <v>73600</v>
      </c>
      <c r="F27" s="52"/>
      <c r="G27" s="52"/>
      <c r="H27" s="20" t="s">
        <v>26</v>
      </c>
      <c r="I27" s="58" t="s">
        <v>43</v>
      </c>
      <c r="J27" s="55">
        <v>61100</v>
      </c>
      <c r="K27" s="52"/>
      <c r="L27" s="51"/>
    </row>
    <row r="28" spans="1:12">
      <c r="A28" s="75"/>
      <c r="B28" s="10" t="s">
        <v>44</v>
      </c>
      <c r="C28" s="20"/>
      <c r="D28" s="29"/>
      <c r="E28" s="20">
        <f>25000*0.92</f>
        <v>23000</v>
      </c>
      <c r="F28" s="20">
        <f>E28</f>
        <v>23000</v>
      </c>
      <c r="G28" s="20">
        <f>E28</f>
        <v>23000</v>
      </c>
      <c r="H28" s="20" t="s">
        <v>26</v>
      </c>
      <c r="I28" s="47" t="s">
        <v>27</v>
      </c>
      <c r="J28" s="40">
        <v>74500</v>
      </c>
      <c r="K28" s="20"/>
      <c r="L28" s="10"/>
    </row>
    <row r="29" spans="1:12">
      <c r="A29" s="75"/>
      <c r="B29" s="10" t="s">
        <v>45</v>
      </c>
      <c r="C29" s="20">
        <v>2500</v>
      </c>
      <c r="D29" s="29">
        <v>3</v>
      </c>
      <c r="E29" s="20">
        <f>C29*D29*0.92</f>
        <v>6900</v>
      </c>
      <c r="F29" s="20"/>
      <c r="G29" s="20"/>
      <c r="H29" s="20" t="s">
        <v>26</v>
      </c>
      <c r="I29" s="47" t="s">
        <v>27</v>
      </c>
      <c r="J29" s="40">
        <v>71800</v>
      </c>
      <c r="K29" s="20"/>
      <c r="L29" s="10"/>
    </row>
    <row r="30" spans="1:12">
      <c r="A30" s="75"/>
      <c r="B30" s="10" t="s">
        <v>46</v>
      </c>
      <c r="C30" s="20"/>
      <c r="D30" s="29"/>
      <c r="E30" s="20">
        <f>2500*0.92</f>
        <v>2300</v>
      </c>
      <c r="F30" s="20"/>
      <c r="G30" s="20"/>
      <c r="H30" s="20" t="s">
        <v>26</v>
      </c>
      <c r="I30" s="47" t="s">
        <v>27</v>
      </c>
      <c r="J30" s="40">
        <v>72400</v>
      </c>
      <c r="K30" s="20"/>
      <c r="L30" s="10"/>
    </row>
    <row r="31" spans="1:12">
      <c r="A31" s="75"/>
      <c r="B31" s="10" t="s">
        <v>47</v>
      </c>
      <c r="C31" s="20"/>
      <c r="D31" s="29"/>
      <c r="E31" s="20">
        <f>6500*0.92</f>
        <v>5980</v>
      </c>
      <c r="F31" s="20"/>
      <c r="G31" s="20"/>
      <c r="H31" s="20" t="s">
        <v>26</v>
      </c>
      <c r="I31" s="47" t="s">
        <v>27</v>
      </c>
      <c r="J31" s="40">
        <v>72200</v>
      </c>
      <c r="K31" s="20"/>
      <c r="L31" s="10"/>
    </row>
    <row r="32" spans="1:12">
      <c r="A32" s="75"/>
      <c r="B32" s="10" t="s">
        <v>48</v>
      </c>
      <c r="C32" s="20"/>
      <c r="D32" s="29"/>
      <c r="E32" s="20">
        <f>500*0.92</f>
        <v>460</v>
      </c>
      <c r="F32" s="20">
        <v>500</v>
      </c>
      <c r="G32" s="20">
        <v>500</v>
      </c>
      <c r="H32" s="20" t="s">
        <v>26</v>
      </c>
      <c r="I32" s="47" t="s">
        <v>27</v>
      </c>
      <c r="J32" s="40">
        <v>72500</v>
      </c>
      <c r="K32" s="20"/>
      <c r="L32" s="10"/>
    </row>
    <row r="33" spans="1:12">
      <c r="A33" s="75"/>
      <c r="B33" s="10" t="s">
        <v>49</v>
      </c>
      <c r="C33" s="20"/>
      <c r="D33" s="29"/>
      <c r="E33" s="20">
        <f>2500*0.92</f>
        <v>2300</v>
      </c>
      <c r="F33" s="20">
        <v>1000</v>
      </c>
      <c r="G33" s="20"/>
      <c r="H33" s="20" t="s">
        <v>26</v>
      </c>
      <c r="I33" s="47" t="s">
        <v>27</v>
      </c>
      <c r="J33" s="40">
        <v>75700</v>
      </c>
      <c r="K33" s="20"/>
      <c r="L33" s="10"/>
    </row>
    <row r="34" spans="1:12">
      <c r="A34" s="75"/>
      <c r="B34" s="10" t="s">
        <v>50</v>
      </c>
      <c r="C34" s="19"/>
      <c r="D34" s="27"/>
      <c r="E34" s="19">
        <f>500*0.92</f>
        <v>460</v>
      </c>
      <c r="F34" s="19">
        <v>500</v>
      </c>
      <c r="G34" s="19">
        <v>500</v>
      </c>
      <c r="H34" s="19" t="s">
        <v>26</v>
      </c>
      <c r="I34" s="47" t="s">
        <v>27</v>
      </c>
      <c r="J34" s="37">
        <v>74500</v>
      </c>
      <c r="K34" s="20"/>
      <c r="L34" s="10"/>
    </row>
    <row r="35" spans="1:12">
      <c r="A35" s="75"/>
      <c r="B35" s="10" t="s">
        <v>51</v>
      </c>
      <c r="C35" s="19"/>
      <c r="D35" s="27"/>
      <c r="E35" s="19">
        <f>SUM(E27)/92*8</f>
        <v>6400</v>
      </c>
      <c r="F35" s="19">
        <v>500</v>
      </c>
      <c r="G35" s="19">
        <v>500</v>
      </c>
      <c r="H35" s="19" t="s">
        <v>26</v>
      </c>
      <c r="I35" s="58" t="s">
        <v>43</v>
      </c>
      <c r="J35" s="37">
        <v>71500</v>
      </c>
      <c r="K35" s="20"/>
      <c r="L35" s="10"/>
    </row>
    <row r="36" spans="1:12">
      <c r="A36" s="75"/>
      <c r="B36" s="10" t="s">
        <v>52</v>
      </c>
      <c r="C36" s="19"/>
      <c r="D36" s="27"/>
      <c r="E36" s="19">
        <f>SUM(E28:E34)/92*8</f>
        <v>3600</v>
      </c>
      <c r="F36" s="19">
        <v>500</v>
      </c>
      <c r="G36" s="19">
        <v>500</v>
      </c>
      <c r="H36" s="19" t="s">
        <v>26</v>
      </c>
      <c r="I36" s="47" t="s">
        <v>27</v>
      </c>
      <c r="J36" s="37">
        <v>71500</v>
      </c>
      <c r="K36" s="19"/>
      <c r="L36" s="19"/>
    </row>
    <row r="37" spans="1:12">
      <c r="A37" s="71"/>
      <c r="B37" s="17" t="s">
        <v>53</v>
      </c>
      <c r="C37" s="23"/>
      <c r="D37" s="30"/>
      <c r="E37" s="23">
        <f>SUM(E26:E36)</f>
        <v>169903.5</v>
      </c>
      <c r="F37" s="23">
        <f>SUM(F25:F36)</f>
        <v>275807</v>
      </c>
      <c r="G37" s="23">
        <f>SUM(G25:G36)</f>
        <v>274807</v>
      </c>
      <c r="H37" s="23"/>
      <c r="I37" s="23"/>
      <c r="J37" s="41"/>
      <c r="K37" s="23"/>
      <c r="L37" s="16"/>
    </row>
    <row r="38" spans="1:12" hidden="1">
      <c r="A38" s="3" t="s">
        <v>54</v>
      </c>
      <c r="B38" s="4" t="s">
        <v>55</v>
      </c>
      <c r="C38" s="19"/>
      <c r="D38" s="27"/>
      <c r="E38" s="19"/>
      <c r="F38" s="19"/>
      <c r="G38" s="19"/>
      <c r="H38" s="19"/>
      <c r="I38" s="19"/>
      <c r="J38" s="37"/>
      <c r="K38" s="19"/>
      <c r="L38" s="3"/>
    </row>
    <row r="39" spans="1:12" s="1" customFormat="1">
      <c r="A39" s="24"/>
      <c r="B39" s="24"/>
      <c r="C39" s="24"/>
      <c r="D39" s="31"/>
      <c r="E39" s="24"/>
      <c r="F39" s="24"/>
      <c r="G39" s="24"/>
      <c r="H39" s="24"/>
      <c r="I39" s="24"/>
      <c r="J39" s="42"/>
      <c r="K39" s="24"/>
      <c r="L39" s="24"/>
    </row>
    <row r="40" spans="1:12" s="1" customFormat="1">
      <c r="A40" s="24" t="s">
        <v>56</v>
      </c>
      <c r="B40" s="24"/>
      <c r="C40" s="24"/>
      <c r="D40" s="31"/>
      <c r="E40" s="67">
        <f>E14+E23+E37</f>
        <v>232903</v>
      </c>
      <c r="F40" s="24">
        <f>F14+F23+F37</f>
        <v>364807</v>
      </c>
      <c r="G40" s="24">
        <f>G14+G23+G37</f>
        <v>363807</v>
      </c>
      <c r="H40" s="24"/>
      <c r="I40" s="24"/>
      <c r="J40" s="43"/>
      <c r="K40" s="24"/>
      <c r="L40" s="24"/>
    </row>
    <row r="41" spans="1:12" s="36" customFormat="1">
      <c r="A41" s="34"/>
      <c r="B41" s="34" t="s">
        <v>57</v>
      </c>
      <c r="C41" s="34"/>
      <c r="D41" s="35"/>
      <c r="E41" s="34">
        <v>46200</v>
      </c>
      <c r="F41" s="34">
        <v>0</v>
      </c>
      <c r="G41" s="34">
        <v>0</v>
      </c>
      <c r="H41" s="34"/>
      <c r="I41" s="34"/>
      <c r="J41" s="43"/>
      <c r="K41" s="34"/>
      <c r="L41" s="34"/>
    </row>
    <row r="42" spans="1:12" s="36" customFormat="1">
      <c r="A42" s="34"/>
      <c r="B42" s="34" t="s">
        <v>58</v>
      </c>
      <c r="C42" s="34"/>
      <c r="D42" s="35"/>
      <c r="E42" s="34">
        <f>E40-E41</f>
        <v>186703</v>
      </c>
      <c r="F42" s="34">
        <f>F40-F41</f>
        <v>364807</v>
      </c>
      <c r="G42" s="34">
        <f>G40-G41</f>
        <v>363807</v>
      </c>
      <c r="H42" s="34"/>
      <c r="I42" s="34"/>
      <c r="J42" s="43"/>
      <c r="K42" s="34"/>
      <c r="L42" s="34"/>
    </row>
    <row r="43" spans="1:12">
      <c r="A43" s="20"/>
      <c r="B43" s="20" t="s">
        <v>59</v>
      </c>
      <c r="C43" s="20"/>
      <c r="D43" s="29"/>
      <c r="E43" s="20">
        <f>(SUM(E42))*0.08</f>
        <v>14936.24</v>
      </c>
      <c r="F43" s="20">
        <f>(SUM(F42))*0.08</f>
        <v>29184.560000000001</v>
      </c>
      <c r="G43" s="20">
        <f>(SUM(G42))*0.08</f>
        <v>29104.560000000001</v>
      </c>
      <c r="H43" s="20"/>
      <c r="I43" s="20"/>
      <c r="J43" s="40"/>
      <c r="K43" s="20"/>
      <c r="L43" s="20"/>
    </row>
    <row r="44" spans="1:12">
      <c r="A44" s="13"/>
      <c r="B44" s="14"/>
      <c r="C44" s="14"/>
      <c r="D44" s="32"/>
      <c r="E44" s="14"/>
      <c r="F44" s="14"/>
      <c r="G44" s="14"/>
      <c r="H44" s="14"/>
      <c r="I44" s="14"/>
      <c r="J44" s="65"/>
      <c r="K44" s="14"/>
      <c r="L44" s="14"/>
    </row>
    <row r="45" spans="1:12">
      <c r="A45" s="13"/>
      <c r="D45" s="33" t="s">
        <v>60</v>
      </c>
      <c r="E45" s="44">
        <f>E14+E23+E37-E26-E27</f>
        <v>114399.5</v>
      </c>
      <c r="F45" s="44">
        <f>F14+F23+F37-F25</f>
        <v>115000</v>
      </c>
      <c r="G45" s="44">
        <f>G14+G23+G37-G25</f>
        <v>114000</v>
      </c>
      <c r="H45" s="14"/>
      <c r="I45" s="14"/>
      <c r="J45" s="65"/>
      <c r="K45" s="14"/>
      <c r="L45" s="14"/>
    </row>
    <row r="46" spans="1:12">
      <c r="A46" s="13"/>
      <c r="D46" s="33"/>
      <c r="E46" s="44"/>
      <c r="F46" s="44"/>
      <c r="G46" s="44"/>
      <c r="H46" s="14"/>
      <c r="I46" s="14"/>
      <c r="J46" s="65"/>
      <c r="K46" s="14"/>
      <c r="L46" s="14"/>
    </row>
    <row r="47" spans="1:12">
      <c r="B47" s="1" t="s">
        <v>61</v>
      </c>
      <c r="C47" s="1" t="s">
        <v>62</v>
      </c>
      <c r="D47" s="1" t="s">
        <v>63</v>
      </c>
      <c r="E47" s="1" t="s">
        <v>64</v>
      </c>
    </row>
    <row r="48" spans="1:12">
      <c r="B48" t="s">
        <v>35</v>
      </c>
      <c r="C48" s="45">
        <v>46200</v>
      </c>
      <c r="D48" s="45">
        <f>SUMIF(I10:I36,"TRAC 2",E10:E36)</f>
        <v>46200</v>
      </c>
      <c r="E48" s="45">
        <f>C48-SUMIF(I10:I36,"TRAC 2",E10:E36)</f>
        <v>0</v>
      </c>
      <c r="I48" s="68">
        <f>E17+E26</f>
        <v>46200</v>
      </c>
    </row>
    <row r="49" spans="2:10">
      <c r="B49" t="s">
        <v>65</v>
      </c>
      <c r="C49" s="45">
        <v>80000</v>
      </c>
      <c r="D49" s="45">
        <f>SUMIF(I10:I36,"Qatar, Fund 30000, Donor 12298",E10:E36)</f>
        <v>80000</v>
      </c>
      <c r="E49" s="45">
        <f>C49-SUMIF(I10:I36,"Qatar, Fund 30000, Donor 12298",E10:E36)</f>
        <v>0</v>
      </c>
      <c r="I49" s="68">
        <f>E27+E35</f>
        <v>80000</v>
      </c>
    </row>
    <row r="50" spans="2:10">
      <c r="B50" t="s">
        <v>66</v>
      </c>
      <c r="C50" s="45">
        <v>106800</v>
      </c>
      <c r="D50" s="45">
        <f>SUMIF(I10:I36,"Germany, Fund 30000, Donor 00117",E10:E36)</f>
        <v>106703</v>
      </c>
      <c r="E50" s="45">
        <f>C50-SUMIF(I10:I36,"Germany, Fund 30000, Donor 00117",E10:E36)</f>
        <v>97</v>
      </c>
      <c r="I50" s="68">
        <f>E10+E11+E12+E18+E19+E20+E21+E28+E29+E30+E31+E32+E33+E36+E34+E13+E22</f>
        <v>106703.00000000001</v>
      </c>
      <c r="J50" s="66"/>
    </row>
    <row r="51" spans="2:10">
      <c r="B51" s="1" t="s">
        <v>67</v>
      </c>
      <c r="C51" s="46">
        <f>SUM(C48:C50)</f>
        <v>233000</v>
      </c>
      <c r="D51"/>
    </row>
    <row r="52" spans="2:10">
      <c r="I52" s="59"/>
    </row>
    <row r="58" spans="2:10">
      <c r="B58" s="12"/>
      <c r="D58"/>
    </row>
    <row r="59" spans="2:10">
      <c r="B59" s="11"/>
      <c r="D59"/>
    </row>
  </sheetData>
  <mergeCells count="8">
    <mergeCell ref="D7:D8"/>
    <mergeCell ref="I7:L7"/>
    <mergeCell ref="E7:G7"/>
    <mergeCell ref="A9:A36"/>
    <mergeCell ref="B7:B8"/>
    <mergeCell ref="A7:A8"/>
    <mergeCell ref="H7:H8"/>
    <mergeCell ref="C7:C8"/>
  </mergeCells>
  <pageMargins left="0.7" right="0.7" top="0.75" bottom="0.75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2019-07-15T21:00:00+00:00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Fiji</TermName>
          <TermId xmlns="http://schemas.microsoft.com/office/infopath/2007/PartnerControls">995aa9c5-1589-49bf-b114-9bb519ded5fe</TermId>
        </TermInfo>
      </Terms>
    </UNDPCountryTaxHTField0>
    <UndpOUCode xmlns="1ed4137b-41b2-488b-8250-6d369ec27664">FJI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Cross-cutting priorities</TermName>
          <TermId xmlns="http://schemas.microsoft.com/office/infopath/2007/PartnerControls">265f8030-1ea1-4557-a76e-1f19c9757fbc</TermId>
        </TermInfo>
        <TermInfo xmlns="http://schemas.microsoft.com/office/infopath/2007/PartnerControls">
          <TermName xmlns="http://schemas.microsoft.com/office/infopath/2007/PartnerControls">Capacity Development</TermName>
          <TermId xmlns="http://schemas.microsoft.com/office/infopath/2007/PartnerControls">0f6cebf4-50de-4968-b289-b483404a5dd0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2019-07-01T04:00:00+00:00</Document_x0020_Coverage_x0020_Period_x0020_Start_x0020_Date>
    <Document_x0020_Coverage_x0020_Period_x0020_End_x0020_Date xmlns="f1161f5b-24a3-4c2d-bc81-44cb9325e8ee">2022-07-01T04:00:00+00:00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1339</Value>
      <Value>301</Value>
      <Value>331</Value>
      <Value>1109</Value>
      <Value>1126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00119425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FJI</TermName>
          <TermId xmlns="http://schemas.microsoft.com/office/infopath/2007/PartnerControls">b485c770-b8a2-4d98-9be2-7cbcd102d195</TermId>
        </TermInfo>
      </Terms>
    </gc6531b704974d528487414686b72f6f>
    <_dlc_DocId xmlns="f1161f5b-24a3-4c2d-bc81-44cb9325e8ee">ATLASPDC-4-101682</_dlc_DocId>
    <_dlc_DocIdUrl xmlns="f1161f5b-24a3-4c2d-bc81-44cb9325e8ee">
      <Url>https://info.undp.org/docs/pdc/_layouts/DocIdRedir.aspx?ID=ATLASPDC-4-101682</Url>
      <Description>ATLASPDC-4-101682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793CB890-D85F-4F54-8563-7895128A5974}"/>
</file>

<file path=customXml/itemProps2.xml><?xml version="1.0" encoding="utf-8"?>
<ds:datastoreItem xmlns:ds="http://schemas.openxmlformats.org/officeDocument/2006/customXml" ds:itemID="{0BFAA8BC-B197-45DF-A62A-69A67B3ED529}"/>
</file>

<file path=customXml/itemProps3.xml><?xml version="1.0" encoding="utf-8"?>
<ds:datastoreItem xmlns:ds="http://schemas.openxmlformats.org/officeDocument/2006/customXml" ds:itemID="{802BFD90-DC3B-4462-A9C1-9D7D7FEA9633}"/>
</file>

<file path=customXml/itemProps4.xml><?xml version="1.0" encoding="utf-8"?>
<ds:datastoreItem xmlns:ds="http://schemas.openxmlformats.org/officeDocument/2006/customXml" ds:itemID="{8A6DF198-A596-4627-9BB3-CC56AA6D8E96}"/>
</file>

<file path=customXml/itemProps5.xml><?xml version="1.0" encoding="utf-8"?>
<ds:datastoreItem xmlns:ds="http://schemas.openxmlformats.org/officeDocument/2006/customXml" ds:itemID="{AC8E1C39-1EFF-42D6-B9F2-9CAA92A25A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Workplan for Fiji Accelerator Lab</dc:title>
  <dc:subject/>
  <dc:creator>Beenisch Tahir</dc:creator>
  <cp:keywords/>
  <dc:description/>
  <cp:lastModifiedBy>Elliot Shada DALMEIDA</cp:lastModifiedBy>
  <dcterms:created xsi:type="dcterms:W3CDTF">2019-05-02T05:14:32Z</dcterms:created>
  <dcterms:modified xsi:type="dcterms:W3CDTF">2019-07-19T16:21:09Z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1339;#Fiji|995aa9c5-1589-49bf-b114-9bb519ded5fe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1126;#FJI|b485c770-b8a2-4d98-9be2-7cbcd102d195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1109;#Budget|1c1fa43a-cb36-4844-8715-9a4cc93e1ac9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331;#Cross-cutting priorities|265f8030-1ea1-4557-a76e-1f19c9757fbc;#301;#Capacity Development|0f6cebf4-50de-4968-b289-b483404a5dd0</vt:lpwstr>
  </property>
  <property fmtid="{D5CDD505-2E9C-101B-9397-08002B2CF9AE}" pid="13" name="_dlc_DocIdItemGuid">
    <vt:lpwstr>0453df2d-5126-4354-a061-43fd68221548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